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9540" windowHeight="1872" tabRatio="644" activeTab="2"/>
  </bookViews>
  <sheets>
    <sheet name="Formulation" sheetId="1" r:id="rId1"/>
    <sheet name="Cost Calculations" sheetId="3" r:id="rId2"/>
    <sheet name="Proximate Calculations" sheetId="4" r:id="rId3"/>
  </sheets>
  <calcPr calcId="125725"/>
</workbook>
</file>

<file path=xl/calcChain.xml><?xml version="1.0" encoding="utf-8"?>
<calcChain xmlns="http://schemas.openxmlformats.org/spreadsheetml/2006/main">
  <c r="G53" i="4"/>
  <c r="E46"/>
  <c r="E47"/>
  <c r="E48"/>
  <c r="E49"/>
  <c r="E50"/>
  <c r="E51"/>
  <c r="E45"/>
  <c r="D54"/>
  <c r="D51"/>
  <c r="J27"/>
  <c r="I27"/>
  <c r="I30"/>
  <c r="H30"/>
  <c r="J42"/>
  <c r="I42"/>
  <c r="K10"/>
  <c r="J10"/>
  <c r="I16"/>
  <c r="I7"/>
  <c r="C42"/>
  <c r="F42" s="1"/>
  <c r="F21" i="3"/>
  <c r="F3"/>
  <c r="F4"/>
  <c r="F6"/>
  <c r="F7"/>
  <c r="F8"/>
  <c r="F9"/>
  <c r="F10"/>
  <c r="F11"/>
  <c r="F12"/>
  <c r="F13"/>
  <c r="F14"/>
  <c r="F15"/>
  <c r="F16"/>
  <c r="F17"/>
  <c r="F18"/>
  <c r="F19"/>
  <c r="F5"/>
  <c r="C51" i="4"/>
  <c r="E34"/>
  <c r="E35"/>
  <c r="E36"/>
  <c r="E39"/>
  <c r="E40"/>
  <c r="E41"/>
  <c r="E30"/>
  <c r="E20"/>
  <c r="F27"/>
  <c r="E21"/>
  <c r="E22"/>
  <c r="E25"/>
  <c r="E26"/>
  <c r="D13"/>
  <c r="F13"/>
  <c r="G13" s="1"/>
  <c r="D14"/>
  <c r="F14"/>
  <c r="G14" s="1"/>
  <c r="D15"/>
  <c r="F15"/>
  <c r="G15" s="1"/>
  <c r="D10"/>
  <c r="F10"/>
  <c r="G10" s="1"/>
  <c r="B5"/>
  <c r="D5" s="1"/>
  <c r="F5" s="1"/>
  <c r="G5" s="1"/>
  <c r="D6"/>
  <c r="F6" s="1"/>
  <c r="G6" s="1"/>
  <c r="D4"/>
  <c r="F4" s="1"/>
  <c r="G4" s="1"/>
  <c r="C10" i="1"/>
  <c r="E19" s="1"/>
  <c r="D14"/>
  <c r="E14"/>
  <c r="F14" s="1"/>
  <c r="D15"/>
  <c r="E15"/>
  <c r="F15" s="1"/>
  <c r="D16"/>
  <c r="E16"/>
  <c r="F16" s="1"/>
  <c r="D17"/>
  <c r="E17"/>
  <c r="F17" s="1"/>
  <c r="E18"/>
  <c r="F18" s="1"/>
  <c r="D19"/>
  <c r="C6"/>
  <c r="H9" s="1"/>
  <c r="D21" i="3"/>
  <c r="B20"/>
  <c r="D20"/>
  <c r="C4"/>
  <c r="E4" s="1"/>
  <c r="C5"/>
  <c r="E5" s="1"/>
  <c r="C6"/>
  <c r="E6" s="1"/>
  <c r="C7"/>
  <c r="E7" s="1"/>
  <c r="C8"/>
  <c r="E8" s="1"/>
  <c r="C9"/>
  <c r="E9" s="1"/>
  <c r="C10"/>
  <c r="E10" s="1"/>
  <c r="C11"/>
  <c r="E11" s="1"/>
  <c r="C12"/>
  <c r="E12" s="1"/>
  <c r="C13"/>
  <c r="E13" s="1"/>
  <c r="C14"/>
  <c r="E14" s="1"/>
  <c r="C15"/>
  <c r="E15" s="1"/>
  <c r="C16"/>
  <c r="E16" s="1"/>
  <c r="C17"/>
  <c r="E17" s="1"/>
  <c r="C18"/>
  <c r="E18" s="1"/>
  <c r="C19"/>
  <c r="E19" s="1"/>
  <c r="C3"/>
  <c r="E3" s="1"/>
  <c r="G9" i="1"/>
  <c r="D22" i="3" l="1"/>
  <c r="E20"/>
  <c r="C20"/>
  <c r="F20"/>
  <c r="F22" s="1"/>
  <c r="G16" i="4"/>
  <c r="G7"/>
  <c r="F19" i="1"/>
  <c r="F9"/>
  <c r="J9"/>
  <c r="I9"/>
  <c r="E9"/>
  <c r="D9"/>
  <c r="F23" i="3" l="1"/>
  <c r="F24" s="1"/>
  <c r="D18" i="1"/>
</calcChain>
</file>

<file path=xl/sharedStrings.xml><?xml version="1.0" encoding="utf-8"?>
<sst xmlns="http://schemas.openxmlformats.org/spreadsheetml/2006/main" count="164" uniqueCount="118">
  <si>
    <t>mc (%)</t>
  </si>
  <si>
    <t>protein (%)</t>
  </si>
  <si>
    <t>crude fat (%)</t>
  </si>
  <si>
    <t>CHO (%)</t>
  </si>
  <si>
    <t>ash (%)</t>
  </si>
  <si>
    <t>salt (%)</t>
  </si>
  <si>
    <t>fibers (%)</t>
  </si>
  <si>
    <t>weight (g)</t>
  </si>
  <si>
    <t>Calculated Value</t>
  </si>
  <si>
    <t>Estimated</t>
  </si>
  <si>
    <t>Calculated</t>
  </si>
  <si>
    <t>Estimated Value</t>
  </si>
  <si>
    <t>Rs/1000g</t>
  </si>
  <si>
    <t>Rs/g</t>
  </si>
  <si>
    <t>Rs.</t>
  </si>
  <si>
    <t>Particluars</t>
  </si>
  <si>
    <t>Tripe</t>
  </si>
  <si>
    <t>Oil</t>
  </si>
  <si>
    <t>Cinnamon</t>
  </si>
  <si>
    <t>Black Pepper</t>
  </si>
  <si>
    <t>Cardamom</t>
  </si>
  <si>
    <t>Cloves</t>
  </si>
  <si>
    <t>Schwan Pepper</t>
  </si>
  <si>
    <t>Garlic</t>
  </si>
  <si>
    <t>Cumin</t>
  </si>
  <si>
    <t>Coriander</t>
  </si>
  <si>
    <t>Onion</t>
  </si>
  <si>
    <t>Salt</t>
  </si>
  <si>
    <t>Chilli</t>
  </si>
  <si>
    <t>Turmeric</t>
  </si>
  <si>
    <t>Asafoetida</t>
  </si>
  <si>
    <t>Fenugreek</t>
  </si>
  <si>
    <t>Ginger</t>
  </si>
  <si>
    <t>Qty Used (g)</t>
  </si>
  <si>
    <t>Contribution</t>
  </si>
  <si>
    <t>Spice</t>
  </si>
  <si>
    <t>Percentage</t>
  </si>
  <si>
    <t>Amount</t>
  </si>
  <si>
    <t>Tripe cooked</t>
  </si>
  <si>
    <t>Spices powder</t>
  </si>
  <si>
    <t>Cost Calculation</t>
  </si>
  <si>
    <t>total product (g)</t>
  </si>
  <si>
    <t>weight loss (g)</t>
  </si>
  <si>
    <t xml:space="preserve">Total </t>
  </si>
  <si>
    <t>MOISTURE DETERMINATION</t>
  </si>
  <si>
    <t>Plate wt.</t>
  </si>
  <si>
    <t>Sample wt.</t>
  </si>
  <si>
    <t>Final wt.</t>
  </si>
  <si>
    <t>Total wt.</t>
  </si>
  <si>
    <t>Wt. Loss</t>
  </si>
  <si>
    <t>Moisture %</t>
  </si>
  <si>
    <t>S.No.</t>
  </si>
  <si>
    <t>FAT DETERMINATION</t>
  </si>
  <si>
    <t>S.No</t>
  </si>
  <si>
    <t>Flask wt.</t>
  </si>
  <si>
    <t>Oil wt.</t>
  </si>
  <si>
    <t>Oil %</t>
  </si>
  <si>
    <t>Flask+Sample wt</t>
  </si>
  <si>
    <t>Flask+Oil</t>
  </si>
  <si>
    <t>PROTEIN DETERMINATION</t>
  </si>
  <si>
    <t>Sample</t>
  </si>
  <si>
    <t xml:space="preserve">Initial </t>
  </si>
  <si>
    <t xml:space="preserve">Final </t>
  </si>
  <si>
    <t>Difference</t>
  </si>
  <si>
    <t>Concurrent</t>
  </si>
  <si>
    <t>10ml</t>
  </si>
  <si>
    <t>N%</t>
  </si>
  <si>
    <t>Blank Titration</t>
  </si>
  <si>
    <t>P%</t>
  </si>
  <si>
    <t>ASH DETERMINATION</t>
  </si>
  <si>
    <t>Crucible wt.</t>
  </si>
  <si>
    <t>Sample+Crucible wt.</t>
  </si>
  <si>
    <t>Crucible+Ash</t>
  </si>
  <si>
    <t>Ash wt.</t>
  </si>
  <si>
    <t>Ash %</t>
  </si>
  <si>
    <t>SALT DETERMINATION</t>
  </si>
  <si>
    <t>0.1N AgNo3 Titration</t>
  </si>
  <si>
    <t>Final</t>
  </si>
  <si>
    <t>Initial</t>
  </si>
  <si>
    <t>25ml</t>
  </si>
  <si>
    <t>Nacl %</t>
  </si>
  <si>
    <t>FIBER DETERMINATION</t>
  </si>
  <si>
    <t>Fat-free Sample (g)</t>
  </si>
  <si>
    <t>Ash (g)</t>
  </si>
  <si>
    <t>Residue (g)</t>
  </si>
  <si>
    <t>Fat %</t>
  </si>
  <si>
    <t>CARBOHYDRATE BY DIFFERENCE</t>
  </si>
  <si>
    <t>PROXIMATES</t>
  </si>
  <si>
    <t>MOISTURE</t>
  </si>
  <si>
    <t>PROTEIN</t>
  </si>
  <si>
    <t>FAT</t>
  </si>
  <si>
    <t>ASH</t>
  </si>
  <si>
    <t>SALT</t>
  </si>
  <si>
    <t>FIBER</t>
  </si>
  <si>
    <t>CARBOHYDRATES</t>
  </si>
  <si>
    <t>Mean</t>
  </si>
  <si>
    <t>PROXIMATE CALCULATION</t>
  </si>
  <si>
    <t>%</t>
  </si>
  <si>
    <t>Crude Fiber %</t>
  </si>
  <si>
    <t>TRIPE SNACKS FORMULATION</t>
  </si>
  <si>
    <t>Price Rs/kg</t>
  </si>
  <si>
    <t>Price Rs/kg @25% overhead</t>
  </si>
  <si>
    <t xml:space="preserve">Weight loss by tripe after cooking </t>
  </si>
  <si>
    <t>Raw tripe used to give 1000g cooked tripe</t>
  </si>
  <si>
    <t>1612.9g</t>
  </si>
  <si>
    <t>NOTE:</t>
  </si>
  <si>
    <t>Unit/kg Product</t>
  </si>
  <si>
    <t>Sample Titration with 0.05N Hcl</t>
  </si>
  <si>
    <t>SE</t>
  </si>
  <si>
    <t>Table value for t-test</t>
  </si>
  <si>
    <t>SE t(0.05,10)</t>
  </si>
  <si>
    <t>43.915±1.05</t>
  </si>
  <si>
    <t>10.447±0.517</t>
  </si>
  <si>
    <t>1.263±0.087</t>
  </si>
  <si>
    <t>5.554±0.196</t>
  </si>
  <si>
    <t>2.7±0.097</t>
  </si>
  <si>
    <t>20.919±2.303</t>
  </si>
  <si>
    <t>15.203±0.455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</si>
</sst>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0" fontId="0" fillId="4" borderId="0" xfId="0" applyFill="1"/>
    <xf numFmtId="0" fontId="0" fillId="5" borderId="0" xfId="0" applyFill="1"/>
    <xf numFmtId="0" fontId="0" fillId="7" borderId="0" xfId="0" applyFill="1"/>
    <xf numFmtId="0" fontId="0" fillId="10" borderId="0" xfId="0" applyFill="1"/>
    <xf numFmtId="0" fontId="3" fillId="0" borderId="1" xfId="0" applyFont="1" applyBorder="1"/>
    <xf numFmtId="0" fontId="3" fillId="8" borderId="1" xfId="0" applyFont="1" applyFill="1" applyBorder="1"/>
    <xf numFmtId="0" fontId="1" fillId="6" borderId="0" xfId="0" applyFont="1" applyFill="1"/>
    <xf numFmtId="0" fontId="1" fillId="10" borderId="0" xfId="0" applyFont="1" applyFill="1"/>
    <xf numFmtId="0" fontId="1" fillId="0" borderId="0" xfId="0" applyFont="1"/>
    <xf numFmtId="0" fontId="0" fillId="11" borderId="0" xfId="0" applyFill="1"/>
    <xf numFmtId="164" fontId="0" fillId="11" borderId="0" xfId="0" applyNumberFormat="1" applyFill="1"/>
    <xf numFmtId="0" fontId="1" fillId="2" borderId="0" xfId="0" applyFont="1" applyFill="1"/>
    <xf numFmtId="0" fontId="1" fillId="3" borderId="0" xfId="0" applyFont="1" applyFill="1"/>
    <xf numFmtId="164" fontId="1" fillId="3" borderId="0" xfId="0" applyNumberFormat="1" applyFont="1" applyFill="1"/>
    <xf numFmtId="0" fontId="3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10" borderId="0" xfId="0" applyNumberFormat="1" applyFon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164" fontId="4" fillId="13" borderId="0" xfId="0" applyNumberFormat="1" applyFont="1" applyFill="1" applyAlignment="1">
      <alignment horizontal="center"/>
    </xf>
    <xf numFmtId="164" fontId="4" fillId="14" borderId="0" xfId="0" applyNumberFormat="1" applyFont="1" applyFill="1" applyAlignment="1">
      <alignment horizontal="center"/>
    </xf>
    <xf numFmtId="164" fontId="1" fillId="14" borderId="0" xfId="0" applyNumberFormat="1" applyFon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 wrapText="1"/>
    </xf>
    <xf numFmtId="0" fontId="0" fillId="8" borderId="0" xfId="0" applyFill="1"/>
    <xf numFmtId="164" fontId="0" fillId="10" borderId="0" xfId="0" applyNumberFormat="1" applyFill="1"/>
    <xf numFmtId="0" fontId="0" fillId="0" borderId="0" xfId="0" applyFill="1"/>
    <xf numFmtId="164" fontId="1" fillId="0" borderId="0" xfId="0" applyNumberFormat="1" applyFont="1" applyFill="1"/>
    <xf numFmtId="164" fontId="0" fillId="0" borderId="0" xfId="0" applyNumberFormat="1" applyFill="1"/>
    <xf numFmtId="0" fontId="1" fillId="8" borderId="0" xfId="0" applyFont="1" applyFill="1"/>
    <xf numFmtId="9" fontId="1" fillId="8" borderId="0" xfId="0" applyNumberFormat="1" applyFont="1" applyFill="1"/>
    <xf numFmtId="0" fontId="1" fillId="8" borderId="0" xfId="0" applyFont="1" applyFill="1" applyAlignment="1">
      <alignment horizontal="right"/>
    </xf>
    <xf numFmtId="164" fontId="0" fillId="10" borderId="0" xfId="0" applyNumberFormat="1" applyFill="1" applyAlignment="1">
      <alignment horizontal="center"/>
    </xf>
    <xf numFmtId="0" fontId="3" fillId="3" borderId="1" xfId="0" applyFont="1" applyFill="1" applyBorder="1"/>
    <xf numFmtId="164" fontId="0" fillId="16" borderId="0" xfId="0" applyNumberFormat="1" applyFill="1" applyAlignment="1">
      <alignment horizontal="center"/>
    </xf>
    <xf numFmtId="0" fontId="0" fillId="16" borderId="0" xfId="0" applyFill="1"/>
    <xf numFmtId="164" fontId="0" fillId="4" borderId="0" xfId="0" applyNumberFormat="1" applyFill="1" applyAlignment="1">
      <alignment horizontal="center"/>
    </xf>
    <xf numFmtId="0" fontId="1" fillId="10" borderId="0" xfId="0" applyFont="1" applyFill="1" applyAlignment="1"/>
    <xf numFmtId="0" fontId="6" fillId="0" borderId="0" xfId="0" applyFont="1"/>
    <xf numFmtId="0" fontId="6" fillId="15" borderId="0" xfId="0" applyFont="1" applyFill="1" applyAlignment="1">
      <alignment horizontal="center"/>
    </xf>
    <xf numFmtId="0" fontId="5" fillId="10" borderId="0" xfId="0" applyFont="1" applyFill="1"/>
    <xf numFmtId="1" fontId="2" fillId="10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9" borderId="0" xfId="0" applyNumberFormat="1" applyFill="1" applyAlignment="1">
      <alignment horizontal="center" wrapText="1"/>
    </xf>
    <xf numFmtId="1" fontId="0" fillId="12" borderId="0" xfId="0" applyNumberFormat="1" applyFill="1" applyAlignment="1">
      <alignment horizontal="center"/>
    </xf>
    <xf numFmtId="1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0" fillId="4" borderId="0" xfId="0" applyNumberFormat="1" applyFill="1" applyAlignment="1">
      <alignment horizontal="center"/>
    </xf>
    <xf numFmtId="164" fontId="7" fillId="1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19"/>
  <sheetViews>
    <sheetView topLeftCell="A2" workbookViewId="0">
      <selection activeCell="G18" sqref="G18"/>
    </sheetView>
  </sheetViews>
  <sheetFormatPr defaultRowHeight="14.4"/>
  <cols>
    <col min="2" max="2" width="15.109375" customWidth="1"/>
    <col min="3" max="3" width="11.77734375" customWidth="1"/>
    <col min="4" max="5" width="12" customWidth="1"/>
    <col min="6" max="6" width="12.5546875" customWidth="1"/>
    <col min="7" max="7" width="11.44140625" customWidth="1"/>
    <col min="8" max="8" width="11.5546875" customWidth="1"/>
    <col min="9" max="9" width="11" customWidth="1"/>
    <col min="10" max="10" width="10.21875" customWidth="1"/>
  </cols>
  <sheetData>
    <row r="3" spans="2:10">
      <c r="E3" s="33" t="s">
        <v>99</v>
      </c>
      <c r="F3" s="33"/>
    </row>
    <row r="4" spans="2:10">
      <c r="B4" s="2"/>
      <c r="C4" s="2" t="s">
        <v>7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</row>
    <row r="5" spans="2:10">
      <c r="B5" s="2" t="s">
        <v>38</v>
      </c>
      <c r="C5" s="7">
        <v>1000</v>
      </c>
      <c r="D5">
        <v>77.62</v>
      </c>
      <c r="E5">
        <v>19</v>
      </c>
      <c r="F5">
        <v>2.98</v>
      </c>
      <c r="G5">
        <v>0</v>
      </c>
      <c r="H5">
        <v>0.4</v>
      </c>
      <c r="I5">
        <v>0</v>
      </c>
      <c r="J5">
        <v>0</v>
      </c>
    </row>
    <row r="6" spans="2:10">
      <c r="B6" s="2" t="s">
        <v>39</v>
      </c>
      <c r="C6" s="7">
        <f>C9-C8-C7-C5</f>
        <v>560</v>
      </c>
      <c r="D6">
        <v>1</v>
      </c>
      <c r="E6">
        <v>5</v>
      </c>
      <c r="F6">
        <v>33.5</v>
      </c>
      <c r="G6">
        <v>49</v>
      </c>
      <c r="H6">
        <v>1.5</v>
      </c>
      <c r="I6">
        <v>0</v>
      </c>
      <c r="J6">
        <v>10</v>
      </c>
    </row>
    <row r="7" spans="2:10">
      <c r="B7" s="2" t="s">
        <v>17</v>
      </c>
      <c r="C7" s="7">
        <v>20</v>
      </c>
      <c r="D7">
        <v>0</v>
      </c>
      <c r="E7">
        <v>0</v>
      </c>
      <c r="F7">
        <v>100</v>
      </c>
      <c r="G7">
        <v>0</v>
      </c>
      <c r="H7">
        <v>0</v>
      </c>
      <c r="I7">
        <v>0</v>
      </c>
      <c r="J7">
        <v>0</v>
      </c>
    </row>
    <row r="8" spans="2:10">
      <c r="B8" s="2" t="s">
        <v>27</v>
      </c>
      <c r="C8" s="7">
        <v>100</v>
      </c>
      <c r="D8">
        <v>0</v>
      </c>
      <c r="E8">
        <v>0</v>
      </c>
      <c r="F8">
        <v>0</v>
      </c>
      <c r="G8">
        <v>0</v>
      </c>
      <c r="H8">
        <v>0</v>
      </c>
      <c r="I8">
        <v>100</v>
      </c>
      <c r="J8">
        <v>0</v>
      </c>
    </row>
    <row r="9" spans="2:10">
      <c r="B9" s="3" t="s">
        <v>11</v>
      </c>
      <c r="C9" s="7">
        <v>1680</v>
      </c>
      <c r="D9" s="34">
        <f>(C5*D5/C9)+(C6*D6/C9)</f>
        <v>46.535714285714285</v>
      </c>
      <c r="E9" s="34">
        <f>(C5*E5/C9)+(C6*E6/C9)</f>
        <v>12.976190476190476</v>
      </c>
      <c r="F9" s="34">
        <f>(C5*F5/C9)+(C6*F6/C9)+(C7*F7/C9)</f>
        <v>14.13095238095238</v>
      </c>
      <c r="G9" s="34">
        <f>(C6*G6/C9)+(G5*C5/C9)</f>
        <v>16.333333333333332</v>
      </c>
      <c r="H9" s="34">
        <f>(C5*H5/C9)+(C6*H6/C9)</f>
        <v>0.73809523809523814</v>
      </c>
      <c r="I9" s="34">
        <f>C8*I8/C9</f>
        <v>5.9523809523809526</v>
      </c>
      <c r="J9" s="34">
        <f>J6*C6/C9</f>
        <v>3.3333333333333335</v>
      </c>
    </row>
    <row r="10" spans="2:10" s="4" customFormat="1">
      <c r="B10" s="2" t="s">
        <v>8</v>
      </c>
      <c r="C10" s="5">
        <f>D10%*C9+E10%*C9+F10%*C9+G10%*C9+H10%*C9+I10%*C9+J10%*C9</f>
        <v>1679.9999999999998</v>
      </c>
      <c r="D10" s="5">
        <v>44.4</v>
      </c>
      <c r="E10" s="5">
        <v>10.231</v>
      </c>
      <c r="F10" s="5">
        <v>15.143000000000001</v>
      </c>
      <c r="G10" s="5">
        <v>20.669</v>
      </c>
      <c r="H10" s="5">
        <v>1.3029999999999999</v>
      </c>
      <c r="I10" s="5">
        <v>5.5540000000000003</v>
      </c>
      <c r="J10" s="5">
        <v>2.7</v>
      </c>
    </row>
    <row r="13" spans="2:10">
      <c r="D13" s="16" t="s">
        <v>34</v>
      </c>
      <c r="E13" s="17" t="s">
        <v>37</v>
      </c>
      <c r="F13" s="18" t="s">
        <v>36</v>
      </c>
    </row>
    <row r="14" spans="2:10">
      <c r="C14" s="14" t="s">
        <v>16</v>
      </c>
      <c r="D14" s="14">
        <f t="shared" ref="D14:D19" si="0">SUM(D5:J5)</f>
        <v>100.00000000000001</v>
      </c>
      <c r="E14" s="14">
        <f t="shared" ref="E14:E19" si="1">C5</f>
        <v>1000</v>
      </c>
      <c r="F14" s="15">
        <f>E14/1680*100</f>
        <v>59.523809523809526</v>
      </c>
    </row>
    <row r="15" spans="2:10">
      <c r="C15" s="14" t="s">
        <v>35</v>
      </c>
      <c r="D15" s="14">
        <f t="shared" si="0"/>
        <v>100</v>
      </c>
      <c r="E15" s="14">
        <f t="shared" si="1"/>
        <v>560</v>
      </c>
      <c r="F15" s="15">
        <f t="shared" ref="F15:F18" si="2">E15/1680*100</f>
        <v>33.333333333333329</v>
      </c>
    </row>
    <row r="16" spans="2:10">
      <c r="C16" s="14" t="s">
        <v>17</v>
      </c>
      <c r="D16" s="14">
        <f t="shared" si="0"/>
        <v>100</v>
      </c>
      <c r="E16" s="14">
        <f t="shared" si="1"/>
        <v>20</v>
      </c>
      <c r="F16" s="15">
        <f t="shared" si="2"/>
        <v>1.1904761904761905</v>
      </c>
    </row>
    <row r="17" spans="3:6">
      <c r="C17" s="14" t="s">
        <v>27</v>
      </c>
      <c r="D17" s="14">
        <f t="shared" si="0"/>
        <v>100</v>
      </c>
      <c r="E17" s="14">
        <f t="shared" si="1"/>
        <v>100</v>
      </c>
      <c r="F17" s="15">
        <f t="shared" si="2"/>
        <v>5.9523809523809517</v>
      </c>
    </row>
    <row r="18" spans="3:6">
      <c r="C18" t="s">
        <v>9</v>
      </c>
      <c r="D18" s="1">
        <f t="shared" si="0"/>
        <v>99.999999999999986</v>
      </c>
      <c r="E18" s="2">
        <f t="shared" si="1"/>
        <v>1680</v>
      </c>
      <c r="F18" s="2">
        <f t="shared" si="2"/>
        <v>100</v>
      </c>
    </row>
    <row r="19" spans="3:6">
      <c r="C19" t="s">
        <v>10</v>
      </c>
      <c r="D19" s="1">
        <f t="shared" si="0"/>
        <v>100</v>
      </c>
      <c r="E19" s="2">
        <f t="shared" si="1"/>
        <v>1679.9999999999998</v>
      </c>
      <c r="F19" s="2">
        <f>SUM(F14:F17)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1"/>
  <sheetViews>
    <sheetView workbookViewId="0">
      <selection activeCell="I15" sqref="I15"/>
    </sheetView>
  </sheetViews>
  <sheetFormatPr defaultRowHeight="14.4"/>
  <cols>
    <col min="1" max="1" width="16.21875" style="13" customWidth="1"/>
    <col min="2" max="2" width="18.33203125" customWidth="1"/>
    <col min="3" max="3" width="16.88671875" customWidth="1"/>
    <col min="4" max="4" width="14" customWidth="1"/>
    <col min="5" max="5" width="14.77734375" customWidth="1"/>
    <col min="6" max="6" width="16.44140625" style="2" customWidth="1"/>
  </cols>
  <sheetData>
    <row r="1" spans="1:10" s="49" customFormat="1" ht="21">
      <c r="C1" s="49" t="s">
        <v>40</v>
      </c>
    </row>
    <row r="2" spans="1:10" s="9" customFormat="1" ht="15.6">
      <c r="A2" s="10" t="s">
        <v>15</v>
      </c>
      <c r="B2" s="19" t="s">
        <v>12</v>
      </c>
      <c r="C2" s="19" t="s">
        <v>13</v>
      </c>
      <c r="D2" s="19" t="s">
        <v>33</v>
      </c>
      <c r="E2" s="19" t="s">
        <v>14</v>
      </c>
      <c r="F2" s="42" t="s">
        <v>106</v>
      </c>
    </row>
    <row r="3" spans="1:10">
      <c r="A3" s="11" t="s">
        <v>16</v>
      </c>
      <c r="B3" s="20">
        <v>200</v>
      </c>
      <c r="C3" s="20">
        <f>B3/1000</f>
        <v>0.2</v>
      </c>
      <c r="D3" s="20">
        <v>1612.9</v>
      </c>
      <c r="E3" s="20">
        <f>D3*C3</f>
        <v>322.58000000000004</v>
      </c>
      <c r="F3" s="22">
        <f t="shared" ref="F3:F19" si="0">D3/1679.99*1000</f>
        <v>960.06523848356244</v>
      </c>
    </row>
    <row r="4" spans="1:10">
      <c r="A4" s="11" t="s">
        <v>17</v>
      </c>
      <c r="B4" s="20">
        <v>120</v>
      </c>
      <c r="C4" s="20">
        <f t="shared" ref="C4:C19" si="1">B4/1000</f>
        <v>0.12</v>
      </c>
      <c r="D4" s="20">
        <v>20</v>
      </c>
      <c r="E4" s="20">
        <f t="shared" ref="E4:E19" si="2">D4*C4</f>
        <v>2.4</v>
      </c>
      <c r="F4" s="22">
        <f t="shared" si="0"/>
        <v>11.904832766861707</v>
      </c>
      <c r="J4" s="35"/>
    </row>
    <row r="5" spans="1:10">
      <c r="A5" s="11" t="s">
        <v>18</v>
      </c>
      <c r="B5" s="20">
        <v>800</v>
      </c>
      <c r="C5" s="20">
        <f t="shared" si="1"/>
        <v>0.8</v>
      </c>
      <c r="D5" s="20">
        <v>1.7</v>
      </c>
      <c r="E5" s="20">
        <f t="shared" si="2"/>
        <v>1.36</v>
      </c>
      <c r="F5" s="22">
        <f t="shared" si="0"/>
        <v>1.011910785183245</v>
      </c>
      <c r="J5" s="36"/>
    </row>
    <row r="6" spans="1:10">
      <c r="A6" s="11" t="s">
        <v>19</v>
      </c>
      <c r="B6" s="20">
        <v>1600</v>
      </c>
      <c r="C6" s="20">
        <f t="shared" si="1"/>
        <v>1.6</v>
      </c>
      <c r="D6" s="20">
        <v>10</v>
      </c>
      <c r="E6" s="20">
        <f t="shared" si="2"/>
        <v>16</v>
      </c>
      <c r="F6" s="22">
        <f t="shared" si="0"/>
        <v>5.9524163834308537</v>
      </c>
      <c r="J6" s="37"/>
    </row>
    <row r="7" spans="1:10">
      <c r="A7" s="11" t="s">
        <v>20</v>
      </c>
      <c r="B7" s="20">
        <v>1800</v>
      </c>
      <c r="C7" s="20">
        <f t="shared" si="1"/>
        <v>1.8</v>
      </c>
      <c r="D7" s="20">
        <v>1.7</v>
      </c>
      <c r="E7" s="20">
        <f t="shared" si="2"/>
        <v>3.06</v>
      </c>
      <c r="F7" s="22">
        <f t="shared" si="0"/>
        <v>1.011910785183245</v>
      </c>
      <c r="J7" s="37"/>
    </row>
    <row r="8" spans="1:10">
      <c r="A8" s="11" t="s">
        <v>21</v>
      </c>
      <c r="B8" s="20">
        <v>2400</v>
      </c>
      <c r="C8" s="20">
        <f t="shared" si="1"/>
        <v>2.4</v>
      </c>
      <c r="D8" s="20">
        <v>1.1000000000000001</v>
      </c>
      <c r="E8" s="20">
        <f t="shared" si="2"/>
        <v>2.64</v>
      </c>
      <c r="F8" s="22">
        <f t="shared" si="0"/>
        <v>0.65476580217739389</v>
      </c>
      <c r="J8" s="37"/>
    </row>
    <row r="9" spans="1:10">
      <c r="A9" s="11" t="s">
        <v>22</v>
      </c>
      <c r="B9" s="20">
        <v>700</v>
      </c>
      <c r="C9" s="20">
        <f t="shared" si="1"/>
        <v>0.7</v>
      </c>
      <c r="D9" s="20">
        <v>20</v>
      </c>
      <c r="E9" s="20">
        <f t="shared" si="2"/>
        <v>14</v>
      </c>
      <c r="F9" s="22">
        <f t="shared" si="0"/>
        <v>11.904832766861707</v>
      </c>
      <c r="J9" s="37"/>
    </row>
    <row r="10" spans="1:10">
      <c r="A10" s="11" t="s">
        <v>23</v>
      </c>
      <c r="B10" s="20">
        <v>900</v>
      </c>
      <c r="C10" s="20">
        <f t="shared" si="1"/>
        <v>0.9</v>
      </c>
      <c r="D10" s="20">
        <v>50</v>
      </c>
      <c r="E10" s="20">
        <f t="shared" si="2"/>
        <v>45</v>
      </c>
      <c r="F10" s="22">
        <f t="shared" si="0"/>
        <v>29.762081917154269</v>
      </c>
      <c r="J10" s="35"/>
    </row>
    <row r="11" spans="1:10">
      <c r="A11" s="11" t="s">
        <v>24</v>
      </c>
      <c r="B11" s="20">
        <v>500</v>
      </c>
      <c r="C11" s="20">
        <f t="shared" si="1"/>
        <v>0.5</v>
      </c>
      <c r="D11" s="20">
        <v>50</v>
      </c>
      <c r="E11" s="20">
        <f t="shared" si="2"/>
        <v>25</v>
      </c>
      <c r="F11" s="22">
        <f t="shared" si="0"/>
        <v>29.762081917154269</v>
      </c>
      <c r="J11" s="35"/>
    </row>
    <row r="12" spans="1:10">
      <c r="A12" s="11" t="s">
        <v>25</v>
      </c>
      <c r="B12" s="20">
        <v>300</v>
      </c>
      <c r="C12" s="20">
        <f t="shared" si="1"/>
        <v>0.3</v>
      </c>
      <c r="D12" s="20">
        <v>30</v>
      </c>
      <c r="E12" s="20">
        <f t="shared" si="2"/>
        <v>9</v>
      </c>
      <c r="F12" s="22">
        <f t="shared" si="0"/>
        <v>17.85724915029256</v>
      </c>
      <c r="J12" s="35"/>
    </row>
    <row r="13" spans="1:10">
      <c r="A13" s="11" t="s">
        <v>26</v>
      </c>
      <c r="B13" s="20">
        <v>600</v>
      </c>
      <c r="C13" s="20">
        <f t="shared" si="1"/>
        <v>0.6</v>
      </c>
      <c r="D13" s="20">
        <v>280</v>
      </c>
      <c r="E13" s="20">
        <f t="shared" si="2"/>
        <v>168</v>
      </c>
      <c r="F13" s="22">
        <f t="shared" si="0"/>
        <v>166.66765873606391</v>
      </c>
    </row>
    <row r="14" spans="1:10">
      <c r="A14" s="11" t="s">
        <v>27</v>
      </c>
      <c r="B14" s="20">
        <v>20</v>
      </c>
      <c r="C14" s="20">
        <f t="shared" si="1"/>
        <v>0.02</v>
      </c>
      <c r="D14" s="20">
        <v>100</v>
      </c>
      <c r="E14" s="20">
        <f t="shared" si="2"/>
        <v>2</v>
      </c>
      <c r="F14" s="22">
        <f t="shared" si="0"/>
        <v>59.524163834308538</v>
      </c>
    </row>
    <row r="15" spans="1:10">
      <c r="A15" s="11" t="s">
        <v>28</v>
      </c>
      <c r="B15" s="20">
        <v>800</v>
      </c>
      <c r="C15" s="20">
        <f t="shared" si="1"/>
        <v>0.8</v>
      </c>
      <c r="D15" s="20">
        <v>50</v>
      </c>
      <c r="E15" s="20">
        <f t="shared" si="2"/>
        <v>40</v>
      </c>
      <c r="F15" s="22">
        <f t="shared" si="0"/>
        <v>29.762081917154269</v>
      </c>
    </row>
    <row r="16" spans="1:10">
      <c r="A16" s="11" t="s">
        <v>29</v>
      </c>
      <c r="B16" s="20">
        <v>800</v>
      </c>
      <c r="C16" s="20">
        <f t="shared" si="1"/>
        <v>0.8</v>
      </c>
      <c r="D16" s="20">
        <v>10</v>
      </c>
      <c r="E16" s="20">
        <f t="shared" si="2"/>
        <v>8</v>
      </c>
      <c r="F16" s="22">
        <f t="shared" si="0"/>
        <v>5.9524163834308537</v>
      </c>
    </row>
    <row r="17" spans="1:6">
      <c r="A17" s="11" t="s">
        <v>30</v>
      </c>
      <c r="B17" s="20">
        <v>1000</v>
      </c>
      <c r="C17" s="20">
        <f t="shared" si="1"/>
        <v>1</v>
      </c>
      <c r="D17" s="20">
        <v>0.5</v>
      </c>
      <c r="E17" s="20">
        <f t="shared" si="2"/>
        <v>0.5</v>
      </c>
      <c r="F17" s="22">
        <f t="shared" si="0"/>
        <v>0.29762081917154271</v>
      </c>
    </row>
    <row r="18" spans="1:6">
      <c r="A18" s="11" t="s">
        <v>31</v>
      </c>
      <c r="B18" s="20">
        <v>300</v>
      </c>
      <c r="C18" s="20">
        <f t="shared" si="1"/>
        <v>0.3</v>
      </c>
      <c r="D18" s="20">
        <v>5</v>
      </c>
      <c r="E18" s="20">
        <f t="shared" si="2"/>
        <v>1.5</v>
      </c>
      <c r="F18" s="22">
        <f t="shared" si="0"/>
        <v>2.9762081917154268</v>
      </c>
    </row>
    <row r="19" spans="1:6">
      <c r="A19" s="11" t="s">
        <v>32</v>
      </c>
      <c r="B19" s="20">
        <v>900</v>
      </c>
      <c r="C19" s="20">
        <f t="shared" si="1"/>
        <v>0.9</v>
      </c>
      <c r="D19" s="20">
        <v>50</v>
      </c>
      <c r="E19" s="20">
        <f t="shared" si="2"/>
        <v>45</v>
      </c>
      <c r="F19" s="22">
        <f t="shared" si="0"/>
        <v>29.762081917154269</v>
      </c>
    </row>
    <row r="20" spans="1:6">
      <c r="A20" s="12" t="s">
        <v>43</v>
      </c>
      <c r="B20" s="21">
        <f>SUM(B3:B19)</f>
        <v>13740</v>
      </c>
      <c r="C20" s="21">
        <f>SUM(C3:C19)</f>
        <v>13.740000000000002</v>
      </c>
      <c r="D20" s="21">
        <f>SUM(D3:D19)</f>
        <v>2292.9</v>
      </c>
      <c r="E20" s="21">
        <f>SUM(E3:E19)</f>
        <v>706.04</v>
      </c>
      <c r="F20" s="41">
        <f>SUM(F3:F19)</f>
        <v>1364.8295525568603</v>
      </c>
    </row>
    <row r="21" spans="1:6">
      <c r="C21" s="6" t="s">
        <v>42</v>
      </c>
      <c r="D21" s="43">
        <f>38%*1612.903</f>
        <v>612.90314000000001</v>
      </c>
      <c r="E21" s="44"/>
      <c r="F21" s="43">
        <f>38%*F3</f>
        <v>364.82479062375376</v>
      </c>
    </row>
    <row r="22" spans="1:6">
      <c r="C22" s="6" t="s">
        <v>41</v>
      </c>
      <c r="D22" s="43">
        <f>D20-D21</f>
        <v>1679.9968600000002</v>
      </c>
      <c r="E22" s="44"/>
      <c r="F22" s="43">
        <f>F20-F21</f>
        <v>1000.0047619331066</v>
      </c>
    </row>
    <row r="23" spans="1:6">
      <c r="C23" s="6" t="s">
        <v>100</v>
      </c>
      <c r="D23" s="5"/>
      <c r="E23" s="5"/>
      <c r="F23" s="45">
        <f>E20/D22*1000</f>
        <v>420.26269025288525</v>
      </c>
    </row>
    <row r="24" spans="1:6" ht="15.6" customHeight="1">
      <c r="C24" s="46" t="s">
        <v>101</v>
      </c>
      <c r="D24" s="8"/>
      <c r="E24" s="8"/>
      <c r="F24" s="41">
        <f>25%*F23+F23</f>
        <v>525.32836281610662</v>
      </c>
    </row>
    <row r="25" spans="1:6">
      <c r="C25" s="48" t="s">
        <v>105</v>
      </c>
      <c r="D25" s="38" t="s">
        <v>102</v>
      </c>
      <c r="E25" s="33"/>
      <c r="F25" s="39">
        <v>0.38</v>
      </c>
    </row>
    <row r="26" spans="1:6">
      <c r="C26" s="38" t="s">
        <v>103</v>
      </c>
      <c r="D26" s="33"/>
      <c r="E26" s="33"/>
      <c r="F26" s="40" t="s">
        <v>104</v>
      </c>
    </row>
    <row r="27" spans="1:6">
      <c r="C27" s="47"/>
      <c r="F27" s="35"/>
    </row>
    <row r="28" spans="1:6">
      <c r="C28" s="47"/>
      <c r="F28" s="35"/>
    </row>
    <row r="29" spans="1:6">
      <c r="F29" s="35"/>
    </row>
    <row r="30" spans="1:6">
      <c r="F30" s="35"/>
    </row>
    <row r="31" spans="1:6">
      <c r="F31" s="35"/>
    </row>
    <row r="32" spans="1:6">
      <c r="F32" s="35"/>
    </row>
    <row r="33" spans="6:6">
      <c r="F33" s="35"/>
    </row>
    <row r="34" spans="6:6">
      <c r="F34" s="35"/>
    </row>
    <row r="35" spans="6:6">
      <c r="F35" s="35"/>
    </row>
    <row r="36" spans="6:6">
      <c r="F36" s="35"/>
    </row>
    <row r="37" spans="6:6">
      <c r="F37" s="35"/>
    </row>
    <row r="38" spans="6:6">
      <c r="F38" s="35"/>
    </row>
    <row r="39" spans="6:6">
      <c r="F39" s="35"/>
    </row>
    <row r="40" spans="6:6">
      <c r="F40" s="35"/>
    </row>
    <row r="41" spans="6:6">
      <c r="F41" s="35"/>
    </row>
    <row r="42" spans="6:6">
      <c r="F42" s="35"/>
    </row>
    <row r="43" spans="6:6">
      <c r="F43" s="35"/>
    </row>
    <row r="44" spans="6:6">
      <c r="F44" s="35"/>
    </row>
    <row r="45" spans="6:6">
      <c r="F45" s="35"/>
    </row>
    <row r="46" spans="6:6">
      <c r="F46" s="35"/>
    </row>
    <row r="47" spans="6:6">
      <c r="F47" s="35"/>
    </row>
    <row r="48" spans="6:6">
      <c r="F48" s="35"/>
    </row>
    <row r="49" spans="6:6">
      <c r="F49" s="35"/>
    </row>
    <row r="50" spans="6:6">
      <c r="F50" s="35"/>
    </row>
    <row r="51" spans="6:6">
      <c r="F51" s="35"/>
    </row>
    <row r="52" spans="6:6">
      <c r="F52" s="35"/>
    </row>
    <row r="53" spans="6:6">
      <c r="F53" s="35"/>
    </row>
    <row r="54" spans="6:6">
      <c r="F54" s="35"/>
    </row>
    <row r="55" spans="6:6">
      <c r="F55" s="35"/>
    </row>
    <row r="56" spans="6:6">
      <c r="F56" s="35"/>
    </row>
    <row r="57" spans="6:6">
      <c r="F57" s="35"/>
    </row>
    <row r="58" spans="6:6">
      <c r="F58" s="35"/>
    </row>
    <row r="59" spans="6:6">
      <c r="F59" s="35"/>
    </row>
    <row r="60" spans="6:6">
      <c r="F60" s="35"/>
    </row>
    <row r="61" spans="6:6">
      <c r="F61" s="35"/>
    </row>
    <row r="62" spans="6:6">
      <c r="F62" s="35"/>
    </row>
    <row r="63" spans="6:6">
      <c r="F63" s="35"/>
    </row>
    <row r="64" spans="6:6">
      <c r="F64" s="35"/>
    </row>
    <row r="65" spans="6:6">
      <c r="F65" s="35"/>
    </row>
    <row r="66" spans="6:6">
      <c r="F66" s="35"/>
    </row>
    <row r="67" spans="6:6">
      <c r="F67" s="35"/>
    </row>
    <row r="68" spans="6:6">
      <c r="F68" s="35"/>
    </row>
    <row r="69" spans="6:6">
      <c r="F69" s="35"/>
    </row>
    <row r="70" spans="6:6">
      <c r="F70" s="35"/>
    </row>
    <row r="71" spans="6:6">
      <c r="F71" s="35"/>
    </row>
    <row r="72" spans="6:6">
      <c r="F72" s="35"/>
    </row>
    <row r="73" spans="6:6">
      <c r="F73" s="35"/>
    </row>
    <row r="74" spans="6:6">
      <c r="F74" s="35"/>
    </row>
    <row r="75" spans="6:6">
      <c r="F75" s="35"/>
    </row>
    <row r="76" spans="6:6">
      <c r="F76" s="35"/>
    </row>
    <row r="77" spans="6:6">
      <c r="F77" s="35"/>
    </row>
    <row r="78" spans="6:6">
      <c r="F78" s="35"/>
    </row>
    <row r="79" spans="6:6">
      <c r="F79" s="35"/>
    </row>
    <row r="80" spans="6:6">
      <c r="F80" s="35"/>
    </row>
    <row r="81" spans="6:6">
      <c r="F81" s="35"/>
    </row>
    <row r="82" spans="6:6">
      <c r="F82" s="35"/>
    </row>
    <row r="83" spans="6:6">
      <c r="F83" s="35"/>
    </row>
    <row r="84" spans="6:6">
      <c r="F84" s="35"/>
    </row>
    <row r="85" spans="6:6">
      <c r="F85" s="35"/>
    </row>
    <row r="86" spans="6:6">
      <c r="F86" s="35"/>
    </row>
    <row r="87" spans="6:6">
      <c r="F87" s="35"/>
    </row>
    <row r="88" spans="6:6">
      <c r="F88" s="35"/>
    </row>
    <row r="89" spans="6:6">
      <c r="F89" s="35"/>
    </row>
    <row r="90" spans="6:6">
      <c r="F90" s="35"/>
    </row>
    <row r="91" spans="6:6">
      <c r="F91" s="35"/>
    </row>
    <row r="92" spans="6:6">
      <c r="F92" s="35"/>
    </row>
    <row r="93" spans="6:6">
      <c r="F93" s="35"/>
    </row>
    <row r="94" spans="6:6">
      <c r="F94" s="35"/>
    </row>
    <row r="95" spans="6:6">
      <c r="F95" s="35"/>
    </row>
    <row r="96" spans="6:6">
      <c r="F96" s="35"/>
    </row>
    <row r="97" spans="6:6">
      <c r="F97" s="35"/>
    </row>
    <row r="98" spans="6:6">
      <c r="F98" s="35"/>
    </row>
    <row r="99" spans="6:6">
      <c r="F99" s="35"/>
    </row>
    <row r="100" spans="6:6">
      <c r="F100" s="35"/>
    </row>
    <row r="101" spans="6:6">
      <c r="F101" s="35"/>
    </row>
    <row r="102" spans="6:6">
      <c r="F102" s="35"/>
    </row>
    <row r="103" spans="6:6">
      <c r="F103" s="35"/>
    </row>
    <row r="104" spans="6:6">
      <c r="F104" s="35"/>
    </row>
    <row r="105" spans="6:6">
      <c r="F105" s="35"/>
    </row>
    <row r="106" spans="6:6">
      <c r="F106" s="35"/>
    </row>
    <row r="107" spans="6:6">
      <c r="F107" s="35"/>
    </row>
    <row r="108" spans="6:6">
      <c r="F108" s="35"/>
    </row>
    <row r="109" spans="6:6">
      <c r="F109" s="35"/>
    </row>
    <row r="110" spans="6:6">
      <c r="F110" s="35"/>
    </row>
    <row r="111" spans="6:6">
      <c r="F111" s="35"/>
    </row>
    <row r="112" spans="6:6">
      <c r="F112" s="35"/>
    </row>
    <row r="113" spans="6:6">
      <c r="F113" s="35"/>
    </row>
    <row r="114" spans="6:6">
      <c r="F114" s="35"/>
    </row>
    <row r="115" spans="6:6">
      <c r="F115" s="35"/>
    </row>
    <row r="116" spans="6:6">
      <c r="F116" s="35"/>
    </row>
    <row r="117" spans="6:6">
      <c r="F117" s="35"/>
    </row>
    <row r="118" spans="6:6">
      <c r="F118" s="35"/>
    </row>
    <row r="119" spans="6:6">
      <c r="F119" s="35"/>
    </row>
    <row r="120" spans="6:6">
      <c r="F120" s="35"/>
    </row>
    <row r="121" spans="6:6">
      <c r="F121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A39" zoomScale="90" zoomScaleNormal="90" workbookViewId="0">
      <selection activeCell="G54" sqref="G54"/>
    </sheetView>
  </sheetViews>
  <sheetFormatPr defaultRowHeight="14.4"/>
  <cols>
    <col min="1" max="1" width="5.77734375" style="53" customWidth="1"/>
    <col min="2" max="2" width="15.33203125" style="23" customWidth="1"/>
    <col min="3" max="3" width="10.77734375" style="23" customWidth="1"/>
    <col min="4" max="4" width="12" style="23" customWidth="1"/>
    <col min="5" max="6" width="14.6640625" style="23" customWidth="1"/>
    <col min="7" max="7" width="12.21875" style="23" customWidth="1"/>
    <col min="8" max="16384" width="8.88671875" style="23"/>
  </cols>
  <sheetData>
    <row r="1" spans="1:11" s="24" customFormat="1" ht="21">
      <c r="A1" s="50"/>
      <c r="C1" s="24" t="s">
        <v>96</v>
      </c>
    </row>
    <row r="2" spans="1:11" s="22" customFormat="1">
      <c r="A2" s="51"/>
      <c r="C2" s="22" t="s">
        <v>44</v>
      </c>
    </row>
    <row r="3" spans="1:11">
      <c r="A3" s="52" t="s">
        <v>51</v>
      </c>
      <c r="B3" s="30" t="s">
        <v>45</v>
      </c>
      <c r="C3" s="30" t="s">
        <v>46</v>
      </c>
      <c r="D3" s="30" t="s">
        <v>48</v>
      </c>
      <c r="E3" s="30" t="s">
        <v>47</v>
      </c>
      <c r="F3" s="30" t="s">
        <v>49</v>
      </c>
      <c r="G3" s="30" t="s">
        <v>50</v>
      </c>
    </row>
    <row r="4" spans="1:11">
      <c r="A4" s="53">
        <v>1</v>
      </c>
      <c r="B4" s="23">
        <v>44.454999999999998</v>
      </c>
      <c r="C4" s="23">
        <v>2.2170000000000001</v>
      </c>
      <c r="D4" s="23">
        <f>B4+C4</f>
        <v>46.671999999999997</v>
      </c>
      <c r="E4" s="23">
        <v>45.69</v>
      </c>
      <c r="F4" s="23">
        <f>D4-E4</f>
        <v>0.98199999999999932</v>
      </c>
      <c r="G4" s="23">
        <f>F4/C4%</f>
        <v>44.294091114118146</v>
      </c>
    </row>
    <row r="5" spans="1:11">
      <c r="A5" s="53">
        <v>2</v>
      </c>
      <c r="B5" s="23">
        <f>43.664-C5</f>
        <v>41.227000000000004</v>
      </c>
      <c r="C5" s="23">
        <v>2.4369999999999998</v>
      </c>
      <c r="D5" s="23">
        <f>B5+C5</f>
        <v>43.664000000000001</v>
      </c>
      <c r="E5" s="23">
        <v>42.58</v>
      </c>
      <c r="F5" s="23">
        <f>D5-E5</f>
        <v>1.0840000000000032</v>
      </c>
      <c r="G5" s="23">
        <f>F5/C5%</f>
        <v>44.480919162905344</v>
      </c>
    </row>
    <row r="6" spans="1:11">
      <c r="A6" s="53">
        <v>3</v>
      </c>
      <c r="B6" s="23">
        <v>43.287999999999997</v>
      </c>
      <c r="C6" s="23">
        <v>2.39</v>
      </c>
      <c r="D6" s="23">
        <f>B6+C6</f>
        <v>45.677999999999997</v>
      </c>
      <c r="E6" s="23">
        <v>44.651000000000003</v>
      </c>
      <c r="F6" s="23">
        <f>D6-E6</f>
        <v>1.0269999999999939</v>
      </c>
      <c r="G6" s="23">
        <f>F6/C6%</f>
        <v>42.970711297070871</v>
      </c>
    </row>
    <row r="7" spans="1:11" s="45" customFormat="1">
      <c r="A7" s="58"/>
      <c r="F7" s="45" t="s">
        <v>95</v>
      </c>
      <c r="G7" s="45">
        <f>AVERAGE(G4:G6)</f>
        <v>43.915240524698113</v>
      </c>
      <c r="H7" s="45" t="s">
        <v>108</v>
      </c>
      <c r="I7" s="45">
        <f>STDEV(G4:G6)/SQRT(3)</f>
        <v>0.47533418992520826</v>
      </c>
    </row>
    <row r="8" spans="1:11" s="22" customFormat="1">
      <c r="A8" s="51"/>
      <c r="C8" s="22" t="s">
        <v>52</v>
      </c>
    </row>
    <row r="9" spans="1:11" ht="28.8">
      <c r="A9" s="54" t="s">
        <v>53</v>
      </c>
      <c r="B9" s="32" t="s">
        <v>54</v>
      </c>
      <c r="C9" s="32" t="s">
        <v>46</v>
      </c>
      <c r="D9" s="32" t="s">
        <v>57</v>
      </c>
      <c r="E9" s="32" t="s">
        <v>58</v>
      </c>
      <c r="F9" s="32" t="s">
        <v>55</v>
      </c>
      <c r="G9" s="32" t="s">
        <v>56</v>
      </c>
      <c r="J9" s="23" t="s">
        <v>95</v>
      </c>
      <c r="K9" s="23" t="s">
        <v>108</v>
      </c>
    </row>
    <row r="10" spans="1:11" s="45" customFormat="1">
      <c r="A10" s="58">
        <v>1</v>
      </c>
      <c r="B10" s="45">
        <v>160.571</v>
      </c>
      <c r="C10" s="45">
        <v>5.0449999999999999</v>
      </c>
      <c r="D10" s="45">
        <f>C10+B10</f>
        <v>165.61599999999999</v>
      </c>
      <c r="E10" s="45">
        <v>161.33799999999999</v>
      </c>
      <c r="F10" s="45">
        <f>E10-B10</f>
        <v>0.76699999999999591</v>
      </c>
      <c r="G10" s="45">
        <f>F10/C10%</f>
        <v>15.203171456887926</v>
      </c>
      <c r="H10" s="45">
        <v>15.89</v>
      </c>
      <c r="I10" s="45">
        <v>15.48</v>
      </c>
      <c r="J10" s="45">
        <f>AVERAGE(G10:I10)</f>
        <v>15.52439048562931</v>
      </c>
      <c r="K10" s="45">
        <f>STDEV(G10:I10)/SQRT(3)</f>
        <v>0.1995087703328533</v>
      </c>
    </row>
    <row r="11" spans="1:11" s="22" customFormat="1">
      <c r="A11" s="51"/>
      <c r="C11" s="22" t="s">
        <v>69</v>
      </c>
    </row>
    <row r="12" spans="1:11" ht="28.8">
      <c r="A12" s="54" t="s">
        <v>51</v>
      </c>
      <c r="B12" s="32" t="s">
        <v>70</v>
      </c>
      <c r="C12" s="32" t="s">
        <v>46</v>
      </c>
      <c r="D12" s="32" t="s">
        <v>71</v>
      </c>
      <c r="E12" s="32" t="s">
        <v>72</v>
      </c>
      <c r="F12" s="32" t="s">
        <v>73</v>
      </c>
      <c r="G12" s="32" t="s">
        <v>74</v>
      </c>
    </row>
    <row r="13" spans="1:11">
      <c r="A13" s="53">
        <v>1</v>
      </c>
      <c r="B13" s="23">
        <v>32.621000000000002</v>
      </c>
      <c r="C13" s="23">
        <v>2.2309999999999999</v>
      </c>
      <c r="D13" s="23">
        <f>C13+B13</f>
        <v>34.852000000000004</v>
      </c>
      <c r="E13" s="23">
        <v>32.65</v>
      </c>
      <c r="F13" s="23">
        <f>E13-B13</f>
        <v>2.8999999999996362E-2</v>
      </c>
      <c r="G13" s="23">
        <f>F13/C13%</f>
        <v>1.2998655311517868</v>
      </c>
      <c r="I13" s="57"/>
    </row>
    <row r="14" spans="1:11">
      <c r="A14" s="53">
        <v>2</v>
      </c>
      <c r="B14" s="23">
        <v>22.890999999999998</v>
      </c>
      <c r="C14" s="23">
        <v>2.5329999999999999</v>
      </c>
      <c r="D14" s="23">
        <f>C14+B14</f>
        <v>25.423999999999999</v>
      </c>
      <c r="E14" s="23">
        <v>22.920999999999999</v>
      </c>
      <c r="F14" s="23">
        <f>E14-B14</f>
        <v>3.0000000000001137E-2</v>
      </c>
      <c r="G14" s="23">
        <f>F14/C14%</f>
        <v>1.1843663639953075</v>
      </c>
    </row>
    <row r="15" spans="1:11">
      <c r="A15" s="53">
        <v>3</v>
      </c>
      <c r="B15" s="23">
        <v>22.44</v>
      </c>
      <c r="C15" s="23">
        <v>1.6879999999999999</v>
      </c>
      <c r="D15" s="23">
        <f>C15+B15</f>
        <v>24.128</v>
      </c>
      <c r="E15" s="23">
        <v>22.462</v>
      </c>
      <c r="F15" s="23">
        <f>E15-B15</f>
        <v>2.1999999999998465E-2</v>
      </c>
      <c r="G15" s="23">
        <f>F15/C15%</f>
        <v>1.3033175355449329</v>
      </c>
    </row>
    <row r="16" spans="1:11" s="45" customFormat="1">
      <c r="A16" s="58"/>
      <c r="F16" s="45" t="s">
        <v>95</v>
      </c>
      <c r="G16" s="45">
        <f>AVERAGE(G13:G15)</f>
        <v>1.2625164768973425</v>
      </c>
      <c r="H16" s="45" t="s">
        <v>108</v>
      </c>
      <c r="I16" s="45">
        <f>STDEV(G13:G15)/SQRT(3)</f>
        <v>3.9087761057791645E-2</v>
      </c>
    </row>
    <row r="17" spans="1:10" s="22" customFormat="1">
      <c r="A17" s="51"/>
      <c r="C17" s="22" t="s">
        <v>75</v>
      </c>
    </row>
    <row r="18" spans="1:10">
      <c r="C18" s="23" t="s">
        <v>76</v>
      </c>
    </row>
    <row r="19" spans="1:10">
      <c r="A19" s="55" t="s">
        <v>51</v>
      </c>
      <c r="B19" s="25" t="s">
        <v>60</v>
      </c>
      <c r="C19" s="25" t="s">
        <v>78</v>
      </c>
      <c r="D19" s="25" t="s">
        <v>77</v>
      </c>
      <c r="E19" s="25" t="s">
        <v>63</v>
      </c>
      <c r="F19" s="25" t="s">
        <v>64</v>
      </c>
    </row>
    <row r="20" spans="1:10">
      <c r="A20" s="53">
        <v>1</v>
      </c>
      <c r="B20" s="23" t="s">
        <v>79</v>
      </c>
      <c r="C20" s="23">
        <v>21.9</v>
      </c>
      <c r="D20" s="23">
        <v>41.5</v>
      </c>
      <c r="E20" s="23">
        <f>D20-C20</f>
        <v>19.600000000000001</v>
      </c>
    </row>
    <row r="21" spans="1:10">
      <c r="A21" s="53">
        <v>2</v>
      </c>
      <c r="B21" s="23" t="s">
        <v>79</v>
      </c>
      <c r="C21" s="23">
        <v>41.5</v>
      </c>
      <c r="D21" s="23">
        <v>61.4</v>
      </c>
      <c r="E21" s="23">
        <f>D21-C21</f>
        <v>19.899999999999999</v>
      </c>
      <c r="F21" s="23">
        <v>19.600000000000001</v>
      </c>
    </row>
    <row r="22" spans="1:10">
      <c r="A22" s="53">
        <v>3</v>
      </c>
      <c r="B22" s="23" t="s">
        <v>79</v>
      </c>
      <c r="C22" s="23">
        <v>61.4</v>
      </c>
      <c r="D22" s="23">
        <v>81</v>
      </c>
      <c r="E22" s="23">
        <f>D22-C22</f>
        <v>19.600000000000001</v>
      </c>
    </row>
    <row r="23" spans="1:10">
      <c r="C23" s="23" t="s">
        <v>67</v>
      </c>
    </row>
    <row r="24" spans="1:10">
      <c r="A24" s="55" t="s">
        <v>51</v>
      </c>
      <c r="B24" s="25" t="s">
        <v>60</v>
      </c>
      <c r="C24" s="25" t="s">
        <v>78</v>
      </c>
      <c r="D24" s="25" t="s">
        <v>77</v>
      </c>
      <c r="E24" s="25" t="s">
        <v>63</v>
      </c>
      <c r="F24" s="25" t="s">
        <v>64</v>
      </c>
    </row>
    <row r="25" spans="1:10">
      <c r="A25" s="53">
        <v>1</v>
      </c>
      <c r="B25" s="23" t="s">
        <v>79</v>
      </c>
      <c r="C25" s="23">
        <v>26.5</v>
      </c>
      <c r="D25" s="23">
        <v>27</v>
      </c>
      <c r="E25" s="23">
        <f>D25-C25</f>
        <v>0.5</v>
      </c>
    </row>
    <row r="26" spans="1:10">
      <c r="A26" s="53">
        <v>2</v>
      </c>
      <c r="B26" s="23" t="s">
        <v>79</v>
      </c>
      <c r="C26" s="23">
        <v>27</v>
      </c>
      <c r="D26" s="23">
        <v>27.5</v>
      </c>
      <c r="E26" s="23">
        <f>D26-C26</f>
        <v>0.5</v>
      </c>
      <c r="F26" s="23">
        <v>0.5</v>
      </c>
      <c r="I26" s="23" t="s">
        <v>95</v>
      </c>
      <c r="J26" s="23" t="s">
        <v>108</v>
      </c>
    </row>
    <row r="27" spans="1:10" s="45" customFormat="1">
      <c r="A27" s="58"/>
      <c r="E27" s="45" t="s">
        <v>80</v>
      </c>
      <c r="F27" s="45">
        <f>(F21-F26)*0.1*5.845/2.01</f>
        <v>5.5542039800995031</v>
      </c>
      <c r="G27" s="45">
        <v>5.25</v>
      </c>
      <c r="H27" s="45">
        <v>5.4</v>
      </c>
      <c r="I27" s="45">
        <f>AVERAGE(F27:H27)</f>
        <v>5.4014013266998342</v>
      </c>
      <c r="J27" s="45">
        <f>STDEV(F27:H27)/SQRT(3)</f>
        <v>8.7818920065619713E-2</v>
      </c>
    </row>
    <row r="28" spans="1:10" s="22" customFormat="1">
      <c r="A28" s="51"/>
      <c r="C28" s="22" t="s">
        <v>81</v>
      </c>
    </row>
    <row r="29" spans="1:10">
      <c r="A29" s="52" t="s">
        <v>82</v>
      </c>
      <c r="B29" s="30" t="s">
        <v>84</v>
      </c>
      <c r="C29" s="30" t="s">
        <v>83</v>
      </c>
      <c r="D29" s="30" t="s">
        <v>85</v>
      </c>
      <c r="E29" s="30" t="s">
        <v>98</v>
      </c>
      <c r="H29" s="23" t="s">
        <v>95</v>
      </c>
      <c r="I29" s="23" t="s">
        <v>108</v>
      </c>
    </row>
    <row r="30" spans="1:10" s="45" customFormat="1">
      <c r="A30" s="58">
        <v>3.1019999999999999</v>
      </c>
      <c r="B30" s="45">
        <v>0.1394</v>
      </c>
      <c r="C30" s="45">
        <v>4.0399999999999998E-2</v>
      </c>
      <c r="D30" s="45">
        <v>15.4</v>
      </c>
      <c r="E30" s="45">
        <f>(B30-C30)*(100-D30)/A30</f>
        <v>2.6999999999999997</v>
      </c>
      <c r="F30" s="45">
        <v>2.63</v>
      </c>
      <c r="G30" s="45">
        <v>2.5499999999999998</v>
      </c>
      <c r="H30" s="45">
        <f>AVERAGE(E30:G30)</f>
        <v>2.6266666666666665</v>
      </c>
      <c r="I30" s="45">
        <f>STDEV(E30:G30)/SQRT(3)</f>
        <v>4.3333333333321553E-2</v>
      </c>
    </row>
    <row r="31" spans="1:10" s="22" customFormat="1">
      <c r="A31" s="51"/>
      <c r="C31" s="22" t="s">
        <v>59</v>
      </c>
    </row>
    <row r="32" spans="1:10">
      <c r="C32" s="23" t="s">
        <v>67</v>
      </c>
    </row>
    <row r="33" spans="1:10">
      <c r="A33" s="55" t="s">
        <v>51</v>
      </c>
      <c r="B33" s="25" t="s">
        <v>60</v>
      </c>
      <c r="C33" s="25" t="s">
        <v>61</v>
      </c>
      <c r="D33" s="25" t="s">
        <v>62</v>
      </c>
      <c r="E33" s="25" t="s">
        <v>63</v>
      </c>
      <c r="F33" s="25" t="s">
        <v>64</v>
      </c>
    </row>
    <row r="34" spans="1:10">
      <c r="A34" s="53">
        <v>1</v>
      </c>
      <c r="B34" s="23" t="s">
        <v>65</v>
      </c>
      <c r="C34" s="23">
        <v>0</v>
      </c>
      <c r="D34" s="23">
        <v>0.1</v>
      </c>
      <c r="E34" s="23">
        <f>D34-C34</f>
        <v>0.1</v>
      </c>
    </row>
    <row r="35" spans="1:10">
      <c r="A35" s="53">
        <v>2</v>
      </c>
      <c r="B35" s="23" t="s">
        <v>65</v>
      </c>
      <c r="C35" s="23">
        <v>0.1</v>
      </c>
      <c r="D35" s="23">
        <v>0.2</v>
      </c>
      <c r="E35" s="23">
        <f>D35-C35</f>
        <v>0.1</v>
      </c>
      <c r="F35" s="23">
        <v>0.1</v>
      </c>
    </row>
    <row r="36" spans="1:10">
      <c r="A36" s="53">
        <v>3</v>
      </c>
      <c r="B36" s="23" t="s">
        <v>65</v>
      </c>
      <c r="C36" s="23">
        <v>0.2</v>
      </c>
      <c r="D36" s="23">
        <v>0.3</v>
      </c>
      <c r="E36" s="23">
        <f>D36-C36</f>
        <v>9.9999999999999978E-2</v>
      </c>
    </row>
    <row r="37" spans="1:10">
      <c r="C37" s="23" t="s">
        <v>107</v>
      </c>
    </row>
    <row r="38" spans="1:10">
      <c r="A38" s="55" t="s">
        <v>51</v>
      </c>
      <c r="B38" s="25" t="s">
        <v>60</v>
      </c>
      <c r="C38" s="25" t="s">
        <v>61</v>
      </c>
      <c r="D38" s="25" t="s">
        <v>62</v>
      </c>
      <c r="E38" s="25" t="s">
        <v>63</v>
      </c>
      <c r="F38" s="25" t="s">
        <v>64</v>
      </c>
    </row>
    <row r="39" spans="1:10">
      <c r="A39" s="53">
        <v>1</v>
      </c>
      <c r="B39" s="23" t="s">
        <v>65</v>
      </c>
      <c r="C39" s="23">
        <v>0</v>
      </c>
      <c r="D39" s="23">
        <v>4.9000000000000004</v>
      </c>
      <c r="E39" s="23">
        <f>D39-C39</f>
        <v>4.9000000000000004</v>
      </c>
    </row>
    <row r="40" spans="1:10">
      <c r="A40" s="53">
        <v>2</v>
      </c>
      <c r="B40" s="23" t="s">
        <v>65</v>
      </c>
      <c r="C40" s="23">
        <v>4.9000000000000004</v>
      </c>
      <c r="D40" s="23">
        <v>9.6999999999999993</v>
      </c>
      <c r="E40" s="23">
        <f>D40-C40</f>
        <v>4.7999999999999989</v>
      </c>
      <c r="F40" s="23">
        <v>4.8</v>
      </c>
    </row>
    <row r="41" spans="1:10">
      <c r="A41" s="53">
        <v>3</v>
      </c>
      <c r="B41" s="23" t="s">
        <v>65</v>
      </c>
      <c r="C41" s="23">
        <v>9.6999999999999993</v>
      </c>
      <c r="D41" s="23">
        <v>14.5</v>
      </c>
      <c r="E41" s="23">
        <f>D41-C41</f>
        <v>4.8000000000000007</v>
      </c>
      <c r="I41" s="23" t="s">
        <v>95</v>
      </c>
      <c r="J41" s="23" t="s">
        <v>108</v>
      </c>
    </row>
    <row r="42" spans="1:10" s="45" customFormat="1">
      <c r="A42" s="58"/>
      <c r="B42" s="45" t="s">
        <v>66</v>
      </c>
      <c r="C42" s="45">
        <f>(F40-F35)*14*100*100*0.05/(2.01*10*1000)</f>
        <v>1.6368159203980102</v>
      </c>
      <c r="E42" s="45" t="s">
        <v>68</v>
      </c>
      <c r="F42" s="45">
        <f>6.25*C42</f>
        <v>10.230099502487564</v>
      </c>
      <c r="G42" s="45">
        <v>11.03</v>
      </c>
      <c r="H42" s="45">
        <v>10.56</v>
      </c>
      <c r="I42" s="45">
        <f>AVERAGE(F42:H42)</f>
        <v>10.606699834162521</v>
      </c>
      <c r="J42" s="45">
        <f>STDEV(F42:H42)/SQRT(3)</f>
        <v>0.23208896093469442</v>
      </c>
    </row>
    <row r="43" spans="1:10" s="22" customFormat="1">
      <c r="A43" s="51"/>
      <c r="B43" s="22" t="s">
        <v>86</v>
      </c>
    </row>
    <row r="44" spans="1:10" ht="18">
      <c r="B44" s="27" t="s">
        <v>87</v>
      </c>
      <c r="C44" s="26" t="s">
        <v>97</v>
      </c>
      <c r="D44" s="31" t="s">
        <v>108</v>
      </c>
      <c r="E44" s="23" t="s">
        <v>110</v>
      </c>
    </row>
    <row r="45" spans="1:10" ht="18">
      <c r="A45" s="56"/>
      <c r="B45" s="28" t="s">
        <v>88</v>
      </c>
      <c r="C45" s="29">
        <v>43.914999999999999</v>
      </c>
      <c r="D45" s="31">
        <v>0.47533418992520826</v>
      </c>
      <c r="E45" s="23">
        <f t="shared" ref="E45:E51" si="0">D45*2.228</f>
        <v>1.0590445751533641</v>
      </c>
      <c r="F45" s="59" t="s">
        <v>111</v>
      </c>
    </row>
    <row r="46" spans="1:10">
      <c r="B46" s="28" t="s">
        <v>89</v>
      </c>
      <c r="C46" s="29">
        <v>10.446999999999999</v>
      </c>
      <c r="D46" s="31">
        <v>0.23208896093469442</v>
      </c>
      <c r="E46" s="23">
        <f t="shared" si="0"/>
        <v>0.51709420496249925</v>
      </c>
      <c r="F46" s="59" t="s">
        <v>112</v>
      </c>
    </row>
    <row r="47" spans="1:10">
      <c r="B47" s="28" t="s">
        <v>90</v>
      </c>
      <c r="C47" s="29">
        <v>15.202999999999999</v>
      </c>
      <c r="D47" s="31">
        <v>0.1995087703328533</v>
      </c>
      <c r="E47" s="23">
        <f t="shared" si="0"/>
        <v>0.44450554030159722</v>
      </c>
      <c r="F47" s="59" t="s">
        <v>117</v>
      </c>
    </row>
    <row r="48" spans="1:10">
      <c r="B48" s="28" t="s">
        <v>91</v>
      </c>
      <c r="C48" s="29">
        <v>1.2625</v>
      </c>
      <c r="D48" s="31">
        <v>3.9087761057791645E-2</v>
      </c>
      <c r="E48" s="23">
        <f t="shared" si="0"/>
        <v>8.7087531636759793E-2</v>
      </c>
      <c r="F48" s="59" t="s">
        <v>113</v>
      </c>
    </row>
    <row r="49" spans="2:7">
      <c r="B49" s="28" t="s">
        <v>92</v>
      </c>
      <c r="C49" s="29">
        <v>5.5540000000000003</v>
      </c>
      <c r="D49" s="31">
        <v>8.7818920065619713E-2</v>
      </c>
      <c r="E49" s="23">
        <f t="shared" si="0"/>
        <v>0.19566055390620074</v>
      </c>
      <c r="F49" s="59" t="s">
        <v>114</v>
      </c>
    </row>
    <row r="50" spans="2:7">
      <c r="B50" s="28" t="s">
        <v>93</v>
      </c>
      <c r="C50" s="29">
        <v>2.7</v>
      </c>
      <c r="D50" s="31">
        <v>4.3333333333321553E-2</v>
      </c>
      <c r="E50" s="23">
        <f t="shared" si="0"/>
        <v>9.6546666666640427E-2</v>
      </c>
      <c r="F50" s="59" t="s">
        <v>115</v>
      </c>
    </row>
    <row r="51" spans="2:7">
      <c r="B51" s="28" t="s">
        <v>94</v>
      </c>
      <c r="C51" s="29">
        <f>100-(SUM(C45:C50))</f>
        <v>20.918499999999995</v>
      </c>
      <c r="D51" s="31">
        <f>SUM(D45:D49)</f>
        <v>1.0338386023161674</v>
      </c>
      <c r="E51" s="23">
        <f t="shared" si="0"/>
        <v>2.3033924059604214</v>
      </c>
      <c r="F51" s="59" t="s">
        <v>116</v>
      </c>
    </row>
    <row r="53" spans="2:7">
      <c r="D53" s="23" t="s">
        <v>109</v>
      </c>
      <c r="G53" s="23">
        <f>TINV(0.05,2)</f>
        <v>4.3026527295445423</v>
      </c>
    </row>
    <row r="54" spans="2:7">
      <c r="D54" s="23">
        <f>TINV(0.05,10)</f>
        <v>2.2281388424258681</v>
      </c>
    </row>
  </sheetData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Formulation</vt:lpstr>
      <vt:lpstr>Cost Calculations</vt:lpstr>
      <vt:lpstr>Proximate Calculations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Bhogendra Rayamajhi</dc:creator>
  <cp:lastModifiedBy>Bhogendra Rayamajhi</cp:lastModifiedBy>
  <dcterms:created xsi:type="dcterms:W3CDTF">2017-03-20T11:23:38Z</dcterms:created>
  <dcterms:modified xsi:type="dcterms:W3CDTF">2017-05-25T15:39:25Z</dcterms:modified>
</cp:coreProperties>
</file>